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36" windowWidth="22692" windowHeight="9264"/>
  </bookViews>
  <sheets>
    <sheet name="Solar-PV-for-IM" sheetId="1" r:id="rId1"/>
    <sheet name="Prieto&amp;Hall-Table6.18" sheetId="2" r:id="rId2"/>
    <sheet name="Prieto&amp;Hall-Table5.1" sheetId="3" r:id="rId3"/>
  </sheets>
  <calcPr calcId="145621"/>
</workbook>
</file>

<file path=xl/calcChain.xml><?xml version="1.0" encoding="utf-8"?>
<calcChain xmlns="http://schemas.openxmlformats.org/spreadsheetml/2006/main">
  <c r="C17" i="1" l="1"/>
  <c r="C21" i="1"/>
  <c r="E11" i="3"/>
  <c r="C15" i="3" s="1"/>
  <c r="C16" i="3" s="1"/>
  <c r="C17" i="3" s="1"/>
  <c r="D11" i="3"/>
  <c r="C11" i="3"/>
  <c r="D35" i="2"/>
  <c r="G31" i="2"/>
  <c r="H27" i="2" s="1"/>
  <c r="D31" i="2"/>
  <c r="E29" i="2" s="1"/>
  <c r="O29" i="2"/>
  <c r="I29" i="2"/>
  <c r="L29" i="2" s="1"/>
  <c r="I28" i="2"/>
  <c r="K28" i="2" s="1"/>
  <c r="H28" i="2"/>
  <c r="I27" i="2"/>
  <c r="O27" i="2" s="1"/>
  <c r="I26" i="2"/>
  <c r="K26" i="2" s="1"/>
  <c r="I25" i="2"/>
  <c r="N25" i="2" s="1"/>
  <c r="O24" i="2"/>
  <c r="I24" i="2"/>
  <c r="L24" i="2" s="1"/>
  <c r="I23" i="2"/>
  <c r="O23" i="2" s="1"/>
  <c r="H23" i="2"/>
  <c r="I22" i="2"/>
  <c r="N22" i="2" s="1"/>
  <c r="O21" i="2"/>
  <c r="L21" i="2"/>
  <c r="I21" i="2"/>
  <c r="I20" i="2"/>
  <c r="L20" i="2" s="1"/>
  <c r="H20" i="2"/>
  <c r="E20" i="2"/>
  <c r="I19" i="2"/>
  <c r="O19" i="2" s="1"/>
  <c r="I18" i="2"/>
  <c r="O18" i="2" s="1"/>
  <c r="I17" i="2"/>
  <c r="O17" i="2" s="1"/>
  <c r="H17" i="2"/>
  <c r="O16" i="2"/>
  <c r="I16" i="2"/>
  <c r="L16" i="2" s="1"/>
  <c r="I15" i="2"/>
  <c r="O15" i="2" s="1"/>
  <c r="H15" i="2"/>
  <c r="I14" i="2"/>
  <c r="O14" i="2" s="1"/>
  <c r="N13" i="2"/>
  <c r="K13" i="2"/>
  <c r="I13" i="2"/>
  <c r="I12" i="2"/>
  <c r="K12" i="2" s="1"/>
  <c r="H12" i="2"/>
  <c r="E12" i="2"/>
  <c r="I11" i="2"/>
  <c r="O11" i="2" s="1"/>
  <c r="I10" i="2"/>
  <c r="O10" i="2" s="1"/>
  <c r="I9" i="2"/>
  <c r="O9" i="2" s="1"/>
  <c r="H9" i="2"/>
  <c r="E9" i="2"/>
  <c r="O8" i="2"/>
  <c r="I8" i="2"/>
  <c r="L8" i="2" s="1"/>
  <c r="I7" i="2"/>
  <c r="N7" i="2" s="1"/>
  <c r="H7" i="2"/>
  <c r="I6" i="2"/>
  <c r="I31" i="2" s="1"/>
  <c r="O31" i="2" l="1"/>
  <c r="D39" i="2" s="1"/>
  <c r="L10" i="2"/>
  <c r="L18" i="2"/>
  <c r="E14" i="2"/>
  <c r="H25" i="2"/>
  <c r="H6" i="2"/>
  <c r="E11" i="2"/>
  <c r="H14" i="2"/>
  <c r="E19" i="2"/>
  <c r="L9" i="2"/>
  <c r="L31" i="2" s="1"/>
  <c r="C39" i="2" s="1"/>
  <c r="N12" i="2"/>
  <c r="E16" i="2"/>
  <c r="H19" i="2"/>
  <c r="K25" i="2"/>
  <c r="E13" i="2"/>
  <c r="H16" i="2"/>
  <c r="E21" i="2"/>
  <c r="K22" i="2"/>
  <c r="H24" i="2"/>
  <c r="L27" i="2"/>
  <c r="L23" i="2"/>
  <c r="E17" i="2"/>
  <c r="E6" i="2"/>
  <c r="K7" i="2"/>
  <c r="L15" i="2"/>
  <c r="E22" i="2"/>
  <c r="E27" i="2"/>
  <c r="H22" i="2"/>
  <c r="E8" i="2"/>
  <c r="H11" i="2"/>
  <c r="L17" i="2"/>
  <c r="O20" i="2"/>
  <c r="E24" i="2"/>
  <c r="H29" i="2"/>
  <c r="K6" i="2"/>
  <c r="H8" i="2"/>
  <c r="L14" i="2"/>
  <c r="N6" i="2"/>
  <c r="N31" i="2" s="1"/>
  <c r="E10" i="2"/>
  <c r="L11" i="2"/>
  <c r="H13" i="2"/>
  <c r="E18" i="2"/>
  <c r="L19" i="2"/>
  <c r="H21" i="2"/>
  <c r="E26" i="2"/>
  <c r="K29" i="2"/>
  <c r="E7" i="2"/>
  <c r="H10" i="2"/>
  <c r="E15" i="2"/>
  <c r="H18" i="2"/>
  <c r="E23" i="2"/>
  <c r="H26" i="2"/>
  <c r="E28" i="2"/>
  <c r="E25" i="2"/>
  <c r="D38" i="2" l="1"/>
  <c r="D36" i="2"/>
  <c r="D37" i="2" s="1"/>
  <c r="C20" i="1" s="1"/>
  <c r="N32" i="2"/>
  <c r="O32" i="2" s="1"/>
  <c r="K31" i="2"/>
  <c r="F18" i="1"/>
  <c r="F17" i="1"/>
  <c r="K32" i="2" l="1"/>
  <c r="L32" i="2" s="1"/>
  <c r="C36" i="2"/>
  <c r="C37" i="2" s="1"/>
  <c r="C38" i="2"/>
  <c r="C16" i="1"/>
  <c r="C19" i="1" s="1"/>
  <c r="C27" i="1" l="1"/>
  <c r="C22" i="1"/>
  <c r="C23" i="1" s="1"/>
  <c r="C24" i="1" s="1"/>
  <c r="C34" i="1" s="1"/>
  <c r="C25" i="1" l="1"/>
  <c r="C30" i="1" l="1"/>
  <c r="C26" i="1"/>
  <c r="C28" i="1" s="1"/>
  <c r="C29" i="1" s="1"/>
  <c r="C32" i="1" l="1"/>
  <c r="C31" i="1"/>
</calcChain>
</file>

<file path=xl/sharedStrings.xml><?xml version="1.0" encoding="utf-8"?>
<sst xmlns="http://schemas.openxmlformats.org/spreadsheetml/2006/main" count="172" uniqueCount="126">
  <si>
    <t>Based on data from Prieto &amp; Hall 2013</t>
  </si>
  <si>
    <t>Installation type</t>
  </si>
  <si>
    <t>Utility-scale solar PV, Spain (ref. Prieto &amp; Hall)</t>
  </si>
  <si>
    <t>Nameplate installation capacity (MW)</t>
  </si>
  <si>
    <t>Capacity factor based on Prieto &amp; Hall, Fig. 5.1</t>
  </si>
  <si>
    <r>
      <t>Real annual yield (MWh/MW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)</t>
    </r>
  </si>
  <si>
    <r>
      <t>Theoretical maximum annual yield for continuous peak insolation (MWh/MW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)</t>
    </r>
  </si>
  <si>
    <t>Lifetime (yrs)</t>
  </si>
  <si>
    <t>Gross energy return (GJ)</t>
  </si>
  <si>
    <t>EROI (lifecycle)</t>
  </si>
  <si>
    <t>Installation emplacement embodied energy as proportion of lifecycle energy inputs</t>
  </si>
  <si>
    <t>(Prieto &amp; Hall, Table 6.18, [a1+a2+a7+a8+a17+a20]/[a1-24 less a21 and a23])</t>
  </si>
  <si>
    <t>Lifecycle energy inputs (GJ)</t>
  </si>
  <si>
    <t>Installation emplacement embodied energy (GJ)</t>
  </si>
  <si>
    <t>Amount of energy expended to emplace a unit of nameplate capacity (J/W)</t>
  </si>
  <si>
    <t>Lifetime operating &amp; maintenance energy plowback (GJ)</t>
  </si>
  <si>
    <t>Lifetime net energy output across installation boundary (GJ)</t>
  </si>
  <si>
    <t>Annual gross energy return (before subtracting operating &amp; maintenance energy) (GJ/year)</t>
  </si>
  <si>
    <t>Annual net energy output across installation boundary (GJ/year)</t>
  </si>
  <si>
    <t>Effective lifetime average power output of nameplate installation capacity (MW)</t>
  </si>
  <si>
    <t>Annual operating &amp; maintenance energy plowback (GJ/year)</t>
  </si>
  <si>
    <t>Annual operating &amp; maintenance energy plowback per unit of installed capacity (J/W per year)</t>
  </si>
  <si>
    <t>Operating &amp; maintenance plowback as proportion of gross output</t>
  </si>
  <si>
    <t>Calculations for PV electricity generation emplacement energy and O&amp;M plowback parameter values used in Insight Maker energy transition model</t>
  </si>
  <si>
    <t>Solar PV generated electricity, Spain</t>
  </si>
  <si>
    <t>http://beyondthisbriefanomaly.org/2015/08/07/energy-transition-renewables-and-batteries-a-systems-view/</t>
  </si>
  <si>
    <t>http://beyondthisbriefanomaly.org/2015/08/20/an-integrated-view-of-energy-transition-what-can-we-learn/</t>
  </si>
  <si>
    <t>http://insightmaker.com/insight/32745/embed?topBar=1&amp;sideBar=1&amp;zoom=1</t>
  </si>
  <si>
    <t>Introduction to the model:</t>
  </si>
  <si>
    <t>Commentary on the "standard run" and implications:</t>
  </si>
  <si>
    <t>Prieto, Pedro A., and Charles A.S. Hall. 2013. Spain's Photovoltaic Revolution: The Energy Return on Investment. Edited by Charles A. S. Hall, SpringerBrief in Energy: Energy Analysis. New York: Springer.</t>
  </si>
  <si>
    <t>(Prieto &amp; Hall (2013), p. 111-2, Table 6.18, omitting factors a21 and a23)</t>
  </si>
  <si>
    <t>Direct link to the Insight Maker  model:</t>
  </si>
  <si>
    <t>Josh Floyd</t>
  </si>
  <si>
    <t>Omits energy costs associated with "Electrical network/power lines restructuring" and "Associated energy costs to injection of intermittent loads: network stabilization associated costs (combined cycles)", on the basis that these are either redundant or will be reduced due to battery storage.</t>
  </si>
  <si>
    <r>
      <t>Installation power demand (assuming emplacement embodied energy is expended over a period of 1 year at a constant mean rate) (GW/GW</t>
    </r>
    <r>
      <rPr>
        <vertAlign val="subscript"/>
        <sz val="11"/>
        <color theme="1"/>
        <rFont val="Calibri"/>
        <family val="2"/>
        <scheme val="minor"/>
      </rPr>
      <t>emplaced</t>
    </r>
    <r>
      <rPr>
        <sz val="11"/>
        <color theme="1"/>
        <rFont val="Calibri"/>
        <family val="2"/>
        <scheme val="minor"/>
      </rPr>
      <t>)</t>
    </r>
  </si>
  <si>
    <t>Nominal annual yield (MWh/MWn)</t>
  </si>
  <si>
    <t>Nominal capacity factor (%)</t>
  </si>
  <si>
    <t>Real capacity factor (%)</t>
  </si>
  <si>
    <t>Real to nominal capacity factor ratio</t>
  </si>
  <si>
    <t>Prieto &amp; Hall, 2013, Table 6.18, pp. 111-2</t>
  </si>
  <si>
    <t>Factor</t>
  </si>
  <si>
    <t>Description</t>
  </si>
  <si>
    <t>Energy invested in ER x X</t>
  </si>
  <si>
    <t>Proportion of total</t>
  </si>
  <si>
    <t>Meuros/year</t>
  </si>
  <si>
    <t>GWh equiv/year for Spain</t>
  </si>
  <si>
    <t>GJ equiv/year for Spain</t>
  </si>
  <si>
    <t>Category allocation for all energy investments included in original study</t>
  </si>
  <si>
    <t>Emplacement energy investment for Spain, original study (GJ/year)</t>
  </si>
  <si>
    <t>O&amp;M energy investment for Spain, original study (GJ/year)</t>
  </si>
  <si>
    <t>Category allocation for restricted energy input</t>
  </si>
  <si>
    <t>Emplacement energy investment for Spain, restricted energy input case (GJ/year)</t>
  </si>
  <si>
    <t>O&amp;M energy investment for Spain, restricted energy input case (GJ/year)</t>
  </si>
  <si>
    <r>
      <t>a</t>
    </r>
    <r>
      <rPr>
        <vertAlign val="subscript"/>
        <sz val="11"/>
        <color theme="1"/>
        <rFont val="Calibri"/>
        <family val="2"/>
        <scheme val="minor"/>
      </rPr>
      <t>1</t>
    </r>
  </si>
  <si>
    <t>Accesses, foundations, canalizations and perimeter fences</t>
  </si>
  <si>
    <t>Emplacement</t>
  </si>
  <si>
    <r>
      <t>a</t>
    </r>
    <r>
      <rPr>
        <vertAlign val="subscript"/>
        <sz val="11"/>
        <color theme="1"/>
        <rFont val="Calibri"/>
        <family val="2"/>
        <scheme val="minor"/>
      </rPr>
      <t>2</t>
    </r>
  </si>
  <si>
    <t>Energy investments of evacuation lines and rights of way</t>
  </si>
  <si>
    <r>
      <t>a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/>
    </r>
  </si>
  <si>
    <t>Operation and maintenance energy costs</t>
  </si>
  <si>
    <t>O&amp;M</t>
  </si>
  <si>
    <r>
      <t>a</t>
    </r>
    <r>
      <rPr>
        <vertAlign val="sub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/>
    </r>
  </si>
  <si>
    <t>Module washing and/or cleaning</t>
  </si>
  <si>
    <r>
      <t>a</t>
    </r>
    <r>
      <rPr>
        <vertAlign val="subscript"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/>
    </r>
  </si>
  <si>
    <t>Self consumption in plants</t>
  </si>
  <si>
    <r>
      <t>a</t>
    </r>
    <r>
      <rPr>
        <vertAlign val="sub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/>
    </r>
  </si>
  <si>
    <t>Security and surveillance</t>
  </si>
  <si>
    <r>
      <t>a</t>
    </r>
    <r>
      <rPr>
        <vertAlign val="sub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/>
    </r>
  </si>
  <si>
    <t>Module, inverters, trackers and metallic infrastructure (labor excluded)</t>
  </si>
  <si>
    <r>
      <t>a</t>
    </r>
    <r>
      <rPr>
        <vertAlign val="subscript"/>
        <sz val="11"/>
        <color theme="1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/>
    </r>
  </si>
  <si>
    <t>Transportations. From local manufacturers to China</t>
  </si>
  <si>
    <r>
      <t>a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/>
    </r>
  </si>
  <si>
    <t>Premature phase out of unamortized manufacturing and other equipment</t>
  </si>
  <si>
    <r>
      <t>a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/>
    </r>
  </si>
  <si>
    <t>Associated energy costs to injection of intermittent loads: pump up costs and/or other massive storage systems, if applied</t>
  </si>
  <si>
    <r>
      <t>a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/>
    </r>
  </si>
  <si>
    <t>Insurances</t>
  </si>
  <si>
    <r>
      <t>a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/>
    </r>
  </si>
  <si>
    <t>Fairs, exhibitions, promotions, conferences, etc.</t>
  </si>
  <si>
    <r>
      <t>a</t>
    </r>
    <r>
      <rPr>
        <vertAlign val="subscript"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/>
    </r>
  </si>
  <si>
    <t>Administration expenses</t>
  </si>
  <si>
    <r>
      <t>a</t>
    </r>
    <r>
      <rPr>
        <vertAlign val="subscript"/>
        <sz val="11"/>
        <color theme="1"/>
        <rFont val="Calibri"/>
        <family val="2"/>
        <scheme val="minor"/>
      </rPr>
      <t>14</t>
    </r>
    <r>
      <rPr>
        <sz val="11"/>
        <color theme="1"/>
        <rFont val="Calibri"/>
        <family val="2"/>
        <scheme val="minor"/>
      </rPr>
      <t/>
    </r>
  </si>
  <si>
    <t>Municipality taxes, duties and levies (2-4% total project)</t>
  </si>
  <si>
    <r>
      <t>a</t>
    </r>
    <r>
      <rPr>
        <vertAlign val="subscript"/>
        <sz val="11"/>
        <color theme="1"/>
        <rFont val="Calibri"/>
        <family val="2"/>
        <scheme val="minor"/>
      </rPr>
      <t>15</t>
    </r>
    <r>
      <rPr>
        <sz val="11"/>
        <color theme="1"/>
        <rFont val="Calibri"/>
        <family val="2"/>
        <scheme val="minor"/>
      </rPr>
      <t/>
    </r>
  </si>
  <si>
    <t>Cost of land long term rent or ownership</t>
  </si>
  <si>
    <r>
      <t>a</t>
    </r>
    <r>
      <rPr>
        <vertAlign val="subscript"/>
        <sz val="11"/>
        <color theme="1"/>
        <rFont val="Calibri"/>
        <family val="2"/>
        <scheme val="minor"/>
      </rPr>
      <t>16</t>
    </r>
    <r>
      <rPr>
        <sz val="11"/>
        <color theme="1"/>
        <rFont val="Calibri"/>
        <family val="2"/>
        <scheme val="minor"/>
      </rPr>
      <t/>
    </r>
  </si>
  <si>
    <t>Circumstantial and indirect labor (not included in direct labor activities)</t>
  </si>
  <si>
    <r>
      <t>a</t>
    </r>
    <r>
      <rPr>
        <vertAlign val="subscript"/>
        <sz val="11"/>
        <color theme="1"/>
        <rFont val="Calibri"/>
        <family val="2"/>
        <scheme val="minor"/>
      </rPr>
      <t>17</t>
    </r>
    <r>
      <rPr>
        <sz val="11"/>
        <color theme="1"/>
        <rFont val="Calibri"/>
        <family val="2"/>
        <scheme val="minor"/>
      </rPr>
      <t/>
    </r>
  </si>
  <si>
    <t>Agent representative or market agent</t>
  </si>
  <si>
    <r>
      <t>a</t>
    </r>
    <r>
      <rPr>
        <vertAlign val="subscript"/>
        <sz val="11"/>
        <color theme="1"/>
        <rFont val="Calibri"/>
        <family val="2"/>
        <scheme val="minor"/>
      </rPr>
      <t>18</t>
    </r>
    <r>
      <rPr>
        <sz val="11"/>
        <color theme="1"/>
        <rFont val="Calibri"/>
        <family val="2"/>
        <scheme val="minor"/>
      </rPr>
      <t/>
    </r>
  </si>
  <si>
    <t>Equipment stealing and vanalism</t>
  </si>
  <si>
    <r>
      <t>a</t>
    </r>
    <r>
      <rPr>
        <vertAlign val="subscript"/>
        <sz val="11"/>
        <color theme="1"/>
        <rFont val="Calibri"/>
        <family val="2"/>
        <scheme val="minor"/>
      </rPr>
      <t>19</t>
    </r>
    <r>
      <rPr>
        <sz val="11"/>
        <color theme="1"/>
        <rFont val="Calibri"/>
        <family val="2"/>
        <scheme val="minor"/>
      </rPr>
      <t/>
    </r>
  </si>
  <si>
    <t>Communications, remote control and management</t>
  </si>
  <si>
    <r>
      <t>a</t>
    </r>
    <r>
      <rPr>
        <vertAlign val="subscript"/>
        <sz val="11"/>
        <color theme="1"/>
        <rFont val="Calibri"/>
        <family val="2"/>
        <scheme val="minor"/>
      </rPr>
      <t>20</t>
    </r>
    <r>
      <rPr>
        <sz val="11"/>
        <color theme="1"/>
        <rFont val="Calibri"/>
        <family val="2"/>
        <scheme val="minor"/>
      </rPr>
      <t/>
    </r>
  </si>
  <si>
    <t>Pre-inscription, inscription, registration bonds and fees</t>
  </si>
  <si>
    <r>
      <t>a</t>
    </r>
    <r>
      <rPr>
        <vertAlign val="subscript"/>
        <sz val="11"/>
        <color theme="1"/>
        <rFont val="Calibri"/>
        <family val="2"/>
        <scheme val="minor"/>
      </rPr>
      <t>21</t>
    </r>
    <r>
      <rPr>
        <sz val="11"/>
        <color theme="1"/>
        <rFont val="Calibri"/>
        <family val="2"/>
        <scheme val="minor"/>
      </rPr>
      <t/>
    </r>
  </si>
  <si>
    <t>Electrical network/power lines restructuring</t>
  </si>
  <si>
    <t>Omitted</t>
  </si>
  <si>
    <r>
      <t>a</t>
    </r>
    <r>
      <rPr>
        <vertAlign val="subscript"/>
        <sz val="11"/>
        <color theme="1"/>
        <rFont val="Calibri"/>
        <family val="2"/>
        <scheme val="minor"/>
      </rPr>
      <t>22</t>
    </r>
    <r>
      <rPr>
        <sz val="11"/>
        <color theme="1"/>
        <rFont val="Calibri"/>
        <family val="2"/>
        <scheme val="minor"/>
      </rPr>
      <t/>
    </r>
  </si>
  <si>
    <t>Faulty modules, inverters, trackers</t>
  </si>
  <si>
    <r>
      <t>a</t>
    </r>
    <r>
      <rPr>
        <vertAlign val="subscript"/>
        <sz val="11"/>
        <color theme="1"/>
        <rFont val="Calibri"/>
        <family val="2"/>
        <scheme val="minor"/>
      </rPr>
      <t>23</t>
    </r>
    <r>
      <rPr>
        <sz val="11"/>
        <color theme="1"/>
        <rFont val="Calibri"/>
        <family val="2"/>
        <scheme val="minor"/>
      </rPr>
      <t/>
    </r>
  </si>
  <si>
    <t>Associated energy costs to injection of intermittent loads: network stabilization associated costs (combined cycles)</t>
  </si>
  <si>
    <r>
      <t>a</t>
    </r>
    <r>
      <rPr>
        <vertAlign val="subscript"/>
        <sz val="11"/>
        <color theme="1"/>
        <rFont val="Calibri"/>
        <family val="2"/>
        <scheme val="minor"/>
      </rPr>
      <t>24</t>
    </r>
    <r>
      <rPr>
        <sz val="11"/>
        <color theme="1"/>
        <rFont val="Calibri"/>
        <family val="2"/>
        <scheme val="minor"/>
      </rPr>
      <t/>
    </r>
  </si>
  <si>
    <t>Force majeure acts of god and others: wind storms, lighting, storms, flooding, hail</t>
  </si>
  <si>
    <t>Total</t>
  </si>
  <si>
    <t>Original study basis</t>
  </si>
  <si>
    <t>Restricted energy input subset basis</t>
  </si>
  <si>
    <t>Average annual real yield for PV in Spain 2009-11 (GJ/year)</t>
  </si>
  <si>
    <t>Total energy investment (GJ)</t>
  </si>
  <si>
    <t>Total energy investment as proportion of real yield</t>
  </si>
  <si>
    <t>Emplacement energy as proportion of real yield</t>
  </si>
  <si>
    <t>O&amp;M energy as proportionof real yield</t>
  </si>
  <si>
    <t>Prieto &amp; Hall, 2013, Table 5.1, p. 50</t>
  </si>
  <si>
    <t>Table 5.1: Installed feed-in solar PV power (in MW) and generated energy (in GWh) in Spain in 2009, 2010, and 2011</t>
  </si>
  <si>
    <t>As per CNE report May 2012</t>
  </si>
  <si>
    <t>Year</t>
  </si>
  <si>
    <t>Averaged installed power in MWn</t>
  </si>
  <si>
    <t>Generated energy in GWh</t>
  </si>
  <si>
    <t>Averaged generated energy in MWh/MWn per year</t>
  </si>
  <si>
    <t>Compount 2009-2011</t>
  </si>
  <si>
    <t xml:space="preserve">Real yield from Fig. 5.1, p. 49 (MWh/MWp) </t>
  </si>
  <si>
    <t>Compount 2009-11 adjusted for real vs. nominal yield (GWh)</t>
  </si>
  <si>
    <t>Average annual real yield 2009-11 (GWh/year)</t>
  </si>
  <si>
    <t>Average annual real yield 2009-11 (GJ/year)</t>
  </si>
  <si>
    <t>Average annual energy investment for PV in Spain as a proportionof real yield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</si>
</sst>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2" fontId="0" fillId="0" borderId="0" xfId="0" applyNumberFormat="1"/>
    <xf numFmtId="9" fontId="0" fillId="0" borderId="0" xfId="0" applyNumberFormat="1"/>
    <xf numFmtId="0" fontId="0" fillId="0" borderId="0" xfId="0" applyAlignment="1">
      <alignment horizontal="right" wrapText="1"/>
    </xf>
    <xf numFmtId="1" fontId="0" fillId="0" borderId="0" xfId="0" applyNumberFormat="1"/>
    <xf numFmtId="164" fontId="0" fillId="0" borderId="0" xfId="0" applyNumberFormat="1"/>
    <xf numFmtId="1" fontId="0" fillId="0" borderId="0" xfId="0" applyNumberFormat="1" applyFill="1"/>
    <xf numFmtId="1" fontId="0" fillId="2" borderId="0" xfId="0" applyNumberFormat="1" applyFill="1"/>
    <xf numFmtId="165" fontId="0" fillId="2" borderId="0" xfId="0" applyNumberFormat="1" applyFill="1"/>
    <xf numFmtId="0" fontId="3" fillId="0" borderId="0" xfId="1"/>
    <xf numFmtId="0" fontId="1" fillId="0" borderId="0" xfId="0" applyFont="1"/>
    <xf numFmtId="0" fontId="0" fillId="0" borderId="0" xfId="0" applyFont="1"/>
    <xf numFmtId="14" fontId="0" fillId="0" borderId="0" xfId="0" applyNumberFormat="1" applyFont="1" applyAlignment="1">
      <alignment horizontal="left"/>
    </xf>
    <xf numFmtId="166" fontId="0" fillId="2" borderId="0" xfId="0" applyNumberFormat="1" applyFill="1"/>
    <xf numFmtId="166" fontId="0" fillId="0" borderId="0" xfId="0" applyNumberFormat="1"/>
    <xf numFmtId="0" fontId="0" fillId="0" borderId="0" xfId="0" applyAlignment="1">
      <alignment wrapText="1"/>
    </xf>
    <xf numFmtId="165" fontId="0" fillId="0" borderId="0" xfId="0" applyNumberFormat="1"/>
    <xf numFmtId="10" fontId="0" fillId="0" borderId="0" xfId="0" applyNumberFormat="1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insightmaker.com/insight/32745/embed?topBar=1&amp;sideBar=1&amp;zoom=1" TargetMode="External"/><Relationship Id="rId2" Type="http://schemas.openxmlformats.org/officeDocument/2006/relationships/hyperlink" Target="http://beyondthisbriefanomaly.org/2015/08/20/an-integrated-view-of-energy-transition-what-can-we-learn/" TargetMode="External"/><Relationship Id="rId1" Type="http://schemas.openxmlformats.org/officeDocument/2006/relationships/hyperlink" Target="http://beyondthisbriefanomaly.org/2015/08/07/energy-transition-renewables-and-batteries-a-systems-view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38"/>
  <sheetViews>
    <sheetView tabSelected="1" workbookViewId="0">
      <selection activeCell="B1" sqref="B1"/>
    </sheetView>
  </sheetViews>
  <sheetFormatPr defaultRowHeight="14.4" x14ac:dyDescent="0.3"/>
  <cols>
    <col min="2" max="2" width="61.44140625" customWidth="1"/>
    <col min="3" max="3" width="20.77734375" bestFit="1" customWidth="1"/>
    <col min="4" max="4" width="9.21875" customWidth="1"/>
    <col min="5" max="5" width="31" customWidth="1"/>
    <col min="6" max="6" width="20.21875" bestFit="1" customWidth="1"/>
  </cols>
  <sheetData>
    <row r="2" spans="2:13" x14ac:dyDescent="0.3">
      <c r="B2" s="12" t="s">
        <v>23</v>
      </c>
    </row>
    <row r="3" spans="2:13" x14ac:dyDescent="0.3">
      <c r="B3" s="13" t="s">
        <v>33</v>
      </c>
    </row>
    <row r="4" spans="2:13" x14ac:dyDescent="0.3">
      <c r="B4" s="14">
        <v>42240</v>
      </c>
    </row>
    <row r="5" spans="2:13" x14ac:dyDescent="0.3">
      <c r="B5" t="s">
        <v>28</v>
      </c>
      <c r="C5" s="11" t="s">
        <v>25</v>
      </c>
    </row>
    <row r="6" spans="2:13" x14ac:dyDescent="0.3">
      <c r="B6" t="s">
        <v>29</v>
      </c>
      <c r="C6" s="11" t="s">
        <v>26</v>
      </c>
    </row>
    <row r="7" spans="2:13" x14ac:dyDescent="0.3">
      <c r="B7" t="s">
        <v>32</v>
      </c>
      <c r="C7" s="11" t="s">
        <v>27</v>
      </c>
    </row>
    <row r="9" spans="2:13" x14ac:dyDescent="0.3">
      <c r="B9" s="20" t="s">
        <v>24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</row>
    <row r="10" spans="2:13" ht="31.8" customHeight="1" x14ac:dyDescent="0.3">
      <c r="B10" s="1" t="s">
        <v>0</v>
      </c>
      <c r="C10" s="23" t="s">
        <v>30</v>
      </c>
      <c r="D10" s="23"/>
      <c r="E10" s="23"/>
      <c r="F10" s="23"/>
      <c r="G10" s="23"/>
      <c r="H10" s="23"/>
      <c r="I10" s="23"/>
      <c r="J10" s="23"/>
      <c r="K10" s="23"/>
      <c r="L10" s="1"/>
      <c r="M10" s="1"/>
    </row>
    <row r="12" spans="2:13" x14ac:dyDescent="0.3">
      <c r="B12" s="2" t="s">
        <v>1</v>
      </c>
      <c r="C12" t="s">
        <v>2</v>
      </c>
    </row>
    <row r="13" spans="2:13" x14ac:dyDescent="0.3">
      <c r="B13" s="2" t="s">
        <v>3</v>
      </c>
      <c r="C13" s="3">
        <v>1000</v>
      </c>
    </row>
    <row r="14" spans="2:13" x14ac:dyDescent="0.3">
      <c r="B14" s="2" t="s">
        <v>4</v>
      </c>
      <c r="C14" s="4"/>
    </row>
    <row r="15" spans="2:13" ht="15.6" x14ac:dyDescent="0.35">
      <c r="B15" s="5" t="s">
        <v>5</v>
      </c>
      <c r="C15" s="6">
        <v>1375</v>
      </c>
      <c r="E15" t="s">
        <v>36</v>
      </c>
      <c r="F15">
        <v>1797</v>
      </c>
    </row>
    <row r="16" spans="2:13" ht="30" x14ac:dyDescent="0.35">
      <c r="B16" s="5" t="s">
        <v>6</v>
      </c>
      <c r="C16" s="6">
        <f>365.25*24</f>
        <v>8766</v>
      </c>
    </row>
    <row r="17" spans="2:15" x14ac:dyDescent="0.3">
      <c r="B17" s="5" t="s">
        <v>38</v>
      </c>
      <c r="C17" s="4">
        <f>C15/C16</f>
        <v>0.15685603467944331</v>
      </c>
      <c r="E17" t="s">
        <v>37</v>
      </c>
      <c r="F17" s="4">
        <f>F15/C16</f>
        <v>0.20499657768651608</v>
      </c>
    </row>
    <row r="18" spans="2:15" x14ac:dyDescent="0.3">
      <c r="B18" s="2" t="s">
        <v>7</v>
      </c>
      <c r="C18" s="7">
        <v>25</v>
      </c>
      <c r="E18" t="s">
        <v>39</v>
      </c>
      <c r="F18" s="16">
        <f>C17/F17</f>
        <v>0.76516416249304398</v>
      </c>
    </row>
    <row r="19" spans="2:15" x14ac:dyDescent="0.3">
      <c r="B19" s="2" t="s">
        <v>8</v>
      </c>
      <c r="C19" s="6">
        <f>C13*C17*C18*365*24*3600*1000000/1000000000</f>
        <v>123665297.74127312</v>
      </c>
    </row>
    <row r="20" spans="2:15" ht="74.400000000000006" customHeight="1" x14ac:dyDescent="0.3">
      <c r="B20" s="2" t="s">
        <v>9</v>
      </c>
      <c r="C20" s="3">
        <f>1/'Prieto&amp;Hall-Table6.18'!D37</f>
        <v>3.0100783735215857</v>
      </c>
      <c r="D20" s="21" t="s">
        <v>31</v>
      </c>
      <c r="E20" s="22"/>
      <c r="F20" s="22"/>
      <c r="G20" s="22"/>
      <c r="H20" s="22"/>
      <c r="I20" s="21" t="s">
        <v>34</v>
      </c>
      <c r="J20" s="21"/>
      <c r="K20" s="21"/>
      <c r="L20" s="21"/>
      <c r="M20" s="21"/>
      <c r="N20" s="21"/>
      <c r="O20" s="21"/>
    </row>
    <row r="21" spans="2:15" ht="91.2" customHeight="1" x14ac:dyDescent="0.3">
      <c r="B21" s="2" t="s">
        <v>10</v>
      </c>
      <c r="C21" s="3">
        <f>'Prieto&amp;Hall-Table6.18'!N32</f>
        <v>0.45760901809552063</v>
      </c>
      <c r="D21" t="s">
        <v>11</v>
      </c>
      <c r="K21" s="21"/>
      <c r="L21" s="21"/>
      <c r="M21" s="21"/>
      <c r="N21" s="21"/>
      <c r="O21" s="21"/>
    </row>
    <row r="22" spans="2:15" x14ac:dyDescent="0.3">
      <c r="B22" s="2" t="s">
        <v>12</v>
      </c>
      <c r="C22" s="6">
        <f>C19/C20</f>
        <v>41083746.798457339</v>
      </c>
    </row>
    <row r="23" spans="2:15" x14ac:dyDescent="0.3">
      <c r="B23" s="2" t="s">
        <v>13</v>
      </c>
      <c r="C23" s="8">
        <f>C21*C22</f>
        <v>18800293.032127053</v>
      </c>
      <c r="D23" s="8"/>
    </row>
    <row r="24" spans="2:15" ht="28.8" x14ac:dyDescent="0.3">
      <c r="B24" s="2" t="s">
        <v>14</v>
      </c>
      <c r="C24" s="9">
        <f>C23*1000/C13</f>
        <v>18800293.032127053</v>
      </c>
    </row>
    <row r="25" spans="2:15" x14ac:dyDescent="0.3">
      <c r="B25" s="2" t="s">
        <v>15</v>
      </c>
      <c r="C25" s="6">
        <f>C22-C23</f>
        <v>22283453.766330287</v>
      </c>
    </row>
    <row r="26" spans="2:15" x14ac:dyDescent="0.3">
      <c r="B26" s="2" t="s">
        <v>16</v>
      </c>
      <c r="C26" s="6">
        <f>C19-C25</f>
        <v>101381843.97494283</v>
      </c>
    </row>
    <row r="27" spans="2:15" ht="28.8" x14ac:dyDescent="0.3">
      <c r="B27" s="2" t="s">
        <v>17</v>
      </c>
      <c r="C27" s="6">
        <f>C19/C18</f>
        <v>4946611.9096509246</v>
      </c>
    </row>
    <row r="28" spans="2:15" x14ac:dyDescent="0.3">
      <c r="B28" s="2" t="s">
        <v>18</v>
      </c>
      <c r="C28" s="6">
        <f>C26/C18</f>
        <v>4055273.7589977132</v>
      </c>
    </row>
    <row r="29" spans="2:15" ht="28.8" x14ac:dyDescent="0.3">
      <c r="B29" s="2" t="s">
        <v>19</v>
      </c>
      <c r="C29" s="6">
        <f>C28*1000/(365.25*24*3600)</f>
        <v>128.5038709850468</v>
      </c>
    </row>
    <row r="30" spans="2:15" x14ac:dyDescent="0.3">
      <c r="B30" s="2" t="s">
        <v>20</v>
      </c>
      <c r="C30" s="6">
        <f>C25/C18</f>
        <v>891338.15065321152</v>
      </c>
    </row>
    <row r="31" spans="2:15" ht="28.8" x14ac:dyDescent="0.3">
      <c r="B31" s="2" t="s">
        <v>21</v>
      </c>
      <c r="C31" s="6">
        <f>(C30*1000000000)/(C13*1000000)</f>
        <v>891338.15065321152</v>
      </c>
    </row>
    <row r="32" spans="2:15" x14ac:dyDescent="0.3">
      <c r="B32" s="2" t="s">
        <v>22</v>
      </c>
      <c r="C32" s="10">
        <f>C30/C27</f>
        <v>0.18019164772441426</v>
      </c>
    </row>
    <row r="33" spans="2:3" x14ac:dyDescent="0.3">
      <c r="B33" s="2"/>
      <c r="C33" s="3"/>
    </row>
    <row r="34" spans="2:3" ht="44.4" x14ac:dyDescent="0.35">
      <c r="B34" s="2" t="s">
        <v>35</v>
      </c>
      <c r="C34" s="15">
        <f>C24/(365.25*24*3600)</f>
        <v>0.59574533653151862</v>
      </c>
    </row>
    <row r="35" spans="2:3" x14ac:dyDescent="0.3">
      <c r="B35" s="5"/>
      <c r="C35" s="6"/>
    </row>
    <row r="36" spans="2:3" x14ac:dyDescent="0.3">
      <c r="B36" s="5"/>
      <c r="C36" s="6"/>
    </row>
    <row r="37" spans="2:3" x14ac:dyDescent="0.3">
      <c r="B37" s="2"/>
      <c r="C37" s="3"/>
    </row>
    <row r="38" spans="2:3" x14ac:dyDescent="0.3">
      <c r="B38" s="2"/>
      <c r="C38" s="3"/>
    </row>
  </sheetData>
  <mergeCells count="5">
    <mergeCell ref="B9:M9"/>
    <mergeCell ref="D20:H20"/>
    <mergeCell ref="I20:O20"/>
    <mergeCell ref="K21:O21"/>
    <mergeCell ref="C10:K10"/>
  </mergeCells>
  <hyperlinks>
    <hyperlink ref="C5" r:id="rId1"/>
    <hyperlink ref="C6" r:id="rId2"/>
    <hyperlink ref="C7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39"/>
  <sheetViews>
    <sheetView topLeftCell="A25" workbookViewId="0">
      <selection activeCell="B5" sqref="B5"/>
    </sheetView>
  </sheetViews>
  <sheetFormatPr defaultRowHeight="14.4" x14ac:dyDescent="0.3"/>
  <cols>
    <col min="2" max="2" width="19.6640625" customWidth="1"/>
    <col min="3" max="3" width="26.6640625" customWidth="1"/>
    <col min="4" max="4" width="14" customWidth="1"/>
    <col min="5" max="5" width="12.44140625" customWidth="1"/>
    <col min="6" max="6" width="11.6640625" customWidth="1"/>
    <col min="7" max="7" width="18.44140625" customWidth="1"/>
    <col min="8" max="9" width="12.6640625" customWidth="1"/>
    <col min="10" max="10" width="18.77734375" customWidth="1"/>
    <col min="11" max="11" width="13.5546875" customWidth="1"/>
    <col min="12" max="12" width="13" customWidth="1"/>
    <col min="13" max="13" width="15.88671875" customWidth="1"/>
    <col min="14" max="14" width="16.77734375" customWidth="1"/>
    <col min="15" max="15" width="15.88671875" customWidth="1"/>
  </cols>
  <sheetData>
    <row r="2" spans="2:15" x14ac:dyDescent="0.3">
      <c r="B2" t="s">
        <v>40</v>
      </c>
    </row>
    <row r="5" spans="2:15" ht="76.8" customHeight="1" x14ac:dyDescent="0.3">
      <c r="B5" t="s">
        <v>41</v>
      </c>
      <c r="C5" t="s">
        <v>42</v>
      </c>
      <c r="D5" s="17" t="s">
        <v>43</v>
      </c>
      <c r="E5" s="17" t="s">
        <v>44</v>
      </c>
      <c r="F5" t="s">
        <v>45</v>
      </c>
      <c r="G5" s="17" t="s">
        <v>46</v>
      </c>
      <c r="H5" s="17" t="s">
        <v>44</v>
      </c>
      <c r="I5" s="17" t="s">
        <v>47</v>
      </c>
      <c r="J5" s="17" t="s">
        <v>48</v>
      </c>
      <c r="K5" s="17" t="s">
        <v>49</v>
      </c>
      <c r="L5" s="17" t="s">
        <v>50</v>
      </c>
      <c r="M5" s="17" t="s">
        <v>51</v>
      </c>
      <c r="N5" s="17" t="s">
        <v>52</v>
      </c>
      <c r="O5" s="17" t="s">
        <v>53</v>
      </c>
    </row>
    <row r="6" spans="2:15" ht="15.6" x14ac:dyDescent="0.35">
      <c r="B6" t="s">
        <v>54</v>
      </c>
      <c r="C6" t="s">
        <v>55</v>
      </c>
      <c r="D6" s="18">
        <v>1.0999999999999999E-2</v>
      </c>
      <c r="E6" s="18">
        <f>D6/$D$31</f>
        <v>2.7513756878439214E-2</v>
      </c>
      <c r="G6">
        <v>56.6</v>
      </c>
      <c r="H6" s="18">
        <f>G6/$G$31</f>
        <v>2.745573611447975E-2</v>
      </c>
      <c r="I6" s="6">
        <f>G6*3600</f>
        <v>203760</v>
      </c>
      <c r="J6" t="s">
        <v>56</v>
      </c>
      <c r="K6" s="6">
        <f t="shared" ref="K6:K29" si="0">I6</f>
        <v>203760</v>
      </c>
      <c r="L6" s="6"/>
      <c r="M6" t="s">
        <v>56</v>
      </c>
      <c r="N6" s="6">
        <f t="shared" ref="N6:N25" si="1">I6</f>
        <v>203760</v>
      </c>
      <c r="O6" s="6"/>
    </row>
    <row r="7" spans="2:15" ht="15.6" x14ac:dyDescent="0.35">
      <c r="B7" t="s">
        <v>57</v>
      </c>
      <c r="C7" t="s">
        <v>58</v>
      </c>
      <c r="D7" s="18">
        <v>1E-3</v>
      </c>
      <c r="E7" s="18">
        <f t="shared" ref="E7:E29" si="2">D7/$D$31</f>
        <v>2.5012506253126563E-3</v>
      </c>
      <c r="G7">
        <v>4.7</v>
      </c>
      <c r="H7" s="18">
        <f t="shared" ref="H7:H29" si="3">G7/$G$31</f>
        <v>2.2798932815910745E-3</v>
      </c>
      <c r="I7" s="6">
        <f t="shared" ref="I7:I29" si="4">G7*3600</f>
        <v>16920</v>
      </c>
      <c r="J7" t="s">
        <v>56</v>
      </c>
      <c r="K7" s="6">
        <f t="shared" si="0"/>
        <v>16920</v>
      </c>
      <c r="L7" s="6"/>
      <c r="M7" t="s">
        <v>56</v>
      </c>
      <c r="N7" s="6">
        <f t="shared" si="1"/>
        <v>16920</v>
      </c>
      <c r="O7" s="6"/>
    </row>
    <row r="8" spans="2:15" ht="15.6" x14ac:dyDescent="0.35">
      <c r="B8" t="s">
        <v>59</v>
      </c>
      <c r="C8" t="s">
        <v>60</v>
      </c>
      <c r="D8" s="18">
        <v>7.6999999999999999E-2</v>
      </c>
      <c r="E8" s="18">
        <f t="shared" si="2"/>
        <v>0.1925962981490745</v>
      </c>
      <c r="G8">
        <v>394</v>
      </c>
      <c r="H8" s="18">
        <f t="shared" si="3"/>
        <v>0.19112296871210283</v>
      </c>
      <c r="I8" s="6">
        <f t="shared" si="4"/>
        <v>1418400</v>
      </c>
      <c r="J8" t="s">
        <v>61</v>
      </c>
      <c r="K8" s="6"/>
      <c r="L8" s="6">
        <f t="shared" ref="L8:L29" si="5">I8</f>
        <v>1418400</v>
      </c>
      <c r="M8" t="s">
        <v>61</v>
      </c>
      <c r="N8" s="6"/>
      <c r="O8" s="6">
        <f t="shared" ref="O8:O29" si="6">I8</f>
        <v>1418400</v>
      </c>
    </row>
    <row r="9" spans="2:15" ht="15.6" x14ac:dyDescent="0.35">
      <c r="B9" t="s">
        <v>62</v>
      </c>
      <c r="C9" t="s">
        <v>63</v>
      </c>
      <c r="D9" s="18">
        <v>2E-3</v>
      </c>
      <c r="E9" s="18">
        <f t="shared" si="2"/>
        <v>5.0025012506253125E-3</v>
      </c>
      <c r="G9">
        <v>11.2</v>
      </c>
      <c r="H9" s="18">
        <f t="shared" si="3"/>
        <v>5.4329371816638364E-3</v>
      </c>
      <c r="I9" s="6">
        <f t="shared" si="4"/>
        <v>40320</v>
      </c>
      <c r="J9" t="s">
        <v>61</v>
      </c>
      <c r="K9" s="6"/>
      <c r="L9" s="6">
        <f t="shared" si="5"/>
        <v>40320</v>
      </c>
      <c r="M9" t="s">
        <v>61</v>
      </c>
      <c r="N9" s="6"/>
      <c r="O9" s="6">
        <f t="shared" si="6"/>
        <v>40320</v>
      </c>
    </row>
    <row r="10" spans="2:15" ht="15.6" x14ac:dyDescent="0.35">
      <c r="B10" t="s">
        <v>64</v>
      </c>
      <c r="C10" t="s">
        <v>65</v>
      </c>
      <c r="D10" s="18">
        <v>5.0000000000000001E-3</v>
      </c>
      <c r="E10" s="18">
        <f t="shared" si="2"/>
        <v>1.2506253126563281E-2</v>
      </c>
      <c r="G10">
        <v>28.2</v>
      </c>
      <c r="H10" s="18">
        <f t="shared" si="3"/>
        <v>1.3679359689546446E-2</v>
      </c>
      <c r="I10" s="6">
        <f t="shared" si="4"/>
        <v>101520</v>
      </c>
      <c r="J10" t="s">
        <v>61</v>
      </c>
      <c r="K10" s="6"/>
      <c r="L10" s="6">
        <f t="shared" si="5"/>
        <v>101520</v>
      </c>
      <c r="M10" t="s">
        <v>61</v>
      </c>
      <c r="N10" s="6"/>
      <c r="O10" s="6">
        <f t="shared" si="6"/>
        <v>101520</v>
      </c>
    </row>
    <row r="11" spans="2:15" ht="15.6" x14ac:dyDescent="0.35">
      <c r="B11" t="s">
        <v>66</v>
      </c>
      <c r="C11" t="s">
        <v>67</v>
      </c>
      <c r="D11" s="18">
        <v>2.4E-2</v>
      </c>
      <c r="E11" s="18">
        <f t="shared" si="2"/>
        <v>6.0030015007503747E-2</v>
      </c>
      <c r="G11">
        <v>138.6</v>
      </c>
      <c r="H11" s="18">
        <f t="shared" si="3"/>
        <v>6.7232597623089974E-2</v>
      </c>
      <c r="I11" s="6">
        <f t="shared" si="4"/>
        <v>498960</v>
      </c>
      <c r="J11" t="s">
        <v>61</v>
      </c>
      <c r="K11" s="6"/>
      <c r="L11" s="6">
        <f t="shared" si="5"/>
        <v>498960</v>
      </c>
      <c r="M11" t="s">
        <v>61</v>
      </c>
      <c r="N11" s="6"/>
      <c r="O11" s="6">
        <f t="shared" si="6"/>
        <v>498960</v>
      </c>
    </row>
    <row r="12" spans="2:15" ht="15.6" x14ac:dyDescent="0.35">
      <c r="B12" t="s">
        <v>68</v>
      </c>
      <c r="C12" t="s">
        <v>69</v>
      </c>
      <c r="D12" s="18">
        <v>0.12</v>
      </c>
      <c r="E12" s="18">
        <f t="shared" si="2"/>
        <v>0.30015007503751873</v>
      </c>
      <c r="G12">
        <v>608</v>
      </c>
      <c r="H12" s="18">
        <f t="shared" si="3"/>
        <v>0.29493087557603687</v>
      </c>
      <c r="I12" s="6">
        <f t="shared" si="4"/>
        <v>2188800</v>
      </c>
      <c r="J12" t="s">
        <v>56</v>
      </c>
      <c r="K12" s="6">
        <f t="shared" si="0"/>
        <v>2188800</v>
      </c>
      <c r="L12" s="6"/>
      <c r="M12" t="s">
        <v>56</v>
      </c>
      <c r="N12" s="6">
        <f t="shared" si="1"/>
        <v>2188800</v>
      </c>
      <c r="O12" s="6"/>
    </row>
    <row r="13" spans="2:15" ht="15.6" x14ac:dyDescent="0.35">
      <c r="B13" t="s">
        <v>70</v>
      </c>
      <c r="C13" t="s">
        <v>71</v>
      </c>
      <c r="D13" s="18">
        <v>1.9E-2</v>
      </c>
      <c r="E13" s="18">
        <f t="shared" si="2"/>
        <v>4.7523761880940464E-2</v>
      </c>
      <c r="G13">
        <v>96</v>
      </c>
      <c r="H13" s="18">
        <f t="shared" si="3"/>
        <v>4.6568032985690032E-2</v>
      </c>
      <c r="I13" s="6">
        <f t="shared" si="4"/>
        <v>345600</v>
      </c>
      <c r="J13" t="s">
        <v>56</v>
      </c>
      <c r="K13" s="6">
        <f t="shared" si="0"/>
        <v>345600</v>
      </c>
      <c r="L13" s="6"/>
      <c r="M13" t="s">
        <v>56</v>
      </c>
      <c r="N13" s="6">
        <f t="shared" si="1"/>
        <v>345600</v>
      </c>
      <c r="O13" s="6"/>
    </row>
    <row r="14" spans="2:15" ht="15.6" x14ac:dyDescent="0.35">
      <c r="B14" t="s">
        <v>72</v>
      </c>
      <c r="C14" t="s">
        <v>73</v>
      </c>
      <c r="D14" s="18">
        <v>2.8000000000000001E-2</v>
      </c>
      <c r="E14" s="18">
        <f t="shared" si="2"/>
        <v>7.0035017508754377E-2</v>
      </c>
      <c r="G14">
        <v>148.4</v>
      </c>
      <c r="H14" s="18">
        <f t="shared" si="3"/>
        <v>7.1986417657045845E-2</v>
      </c>
      <c r="I14" s="6">
        <f t="shared" si="4"/>
        <v>534240</v>
      </c>
      <c r="J14" t="s">
        <v>61</v>
      </c>
      <c r="K14" s="6"/>
      <c r="L14" s="6">
        <f t="shared" si="5"/>
        <v>534240</v>
      </c>
      <c r="M14" t="s">
        <v>61</v>
      </c>
      <c r="N14" s="6"/>
      <c r="O14" s="6">
        <f t="shared" si="6"/>
        <v>534240</v>
      </c>
    </row>
    <row r="15" spans="2:15" ht="15.6" x14ac:dyDescent="0.35">
      <c r="B15" t="s">
        <v>74</v>
      </c>
      <c r="C15" t="s">
        <v>75</v>
      </c>
      <c r="D15" s="18">
        <v>0</v>
      </c>
      <c r="E15" s="18">
        <f t="shared" si="2"/>
        <v>0</v>
      </c>
      <c r="G15">
        <v>0</v>
      </c>
      <c r="H15" s="18">
        <f t="shared" si="3"/>
        <v>0</v>
      </c>
      <c r="I15" s="6">
        <f t="shared" si="4"/>
        <v>0</v>
      </c>
      <c r="J15" t="s">
        <v>61</v>
      </c>
      <c r="K15" s="6"/>
      <c r="L15" s="6">
        <f t="shared" si="5"/>
        <v>0</v>
      </c>
      <c r="M15" t="s">
        <v>61</v>
      </c>
      <c r="N15" s="6"/>
      <c r="O15" s="6">
        <f t="shared" si="6"/>
        <v>0</v>
      </c>
    </row>
    <row r="16" spans="2:15" ht="15.6" x14ac:dyDescent="0.35">
      <c r="B16" t="s">
        <v>76</v>
      </c>
      <c r="C16" t="s">
        <v>77</v>
      </c>
      <c r="D16" s="18">
        <v>4.0000000000000001E-3</v>
      </c>
      <c r="E16" s="18">
        <f t="shared" si="2"/>
        <v>1.0005002501250625E-2</v>
      </c>
      <c r="G16">
        <v>19.899999999999999</v>
      </c>
      <c r="H16" s="18">
        <f t="shared" si="3"/>
        <v>9.6531651709919949E-3</v>
      </c>
      <c r="I16" s="6">
        <f t="shared" si="4"/>
        <v>71640</v>
      </c>
      <c r="J16" t="s">
        <v>61</v>
      </c>
      <c r="K16" s="6"/>
      <c r="L16" s="6">
        <f t="shared" si="5"/>
        <v>71640</v>
      </c>
      <c r="M16" t="s">
        <v>61</v>
      </c>
      <c r="N16" s="6"/>
      <c r="O16" s="6">
        <f t="shared" si="6"/>
        <v>71640</v>
      </c>
    </row>
    <row r="17" spans="2:15" ht="15.6" x14ac:dyDescent="0.35">
      <c r="B17" t="s">
        <v>78</v>
      </c>
      <c r="C17" t="s">
        <v>79</v>
      </c>
      <c r="D17" s="18">
        <v>5.0000000000000001E-3</v>
      </c>
      <c r="E17" s="18">
        <f t="shared" si="2"/>
        <v>1.2506253126563281E-2</v>
      </c>
      <c r="G17">
        <v>26.4</v>
      </c>
      <c r="H17" s="18">
        <f t="shared" si="3"/>
        <v>1.2806209071064757E-2</v>
      </c>
      <c r="I17" s="6">
        <f t="shared" si="4"/>
        <v>95040</v>
      </c>
      <c r="J17" t="s">
        <v>61</v>
      </c>
      <c r="K17" s="6"/>
      <c r="L17" s="6">
        <f t="shared" si="5"/>
        <v>95040</v>
      </c>
      <c r="M17" t="s">
        <v>61</v>
      </c>
      <c r="N17" s="6"/>
      <c r="O17" s="6">
        <f t="shared" si="6"/>
        <v>95040</v>
      </c>
    </row>
    <row r="18" spans="2:15" ht="15.6" x14ac:dyDescent="0.35">
      <c r="B18" t="s">
        <v>80</v>
      </c>
      <c r="C18" t="s">
        <v>81</v>
      </c>
      <c r="D18" s="18">
        <v>7.0000000000000001E-3</v>
      </c>
      <c r="E18" s="18">
        <f t="shared" si="2"/>
        <v>1.7508754377188594E-2</v>
      </c>
      <c r="G18">
        <v>34.299999999999997</v>
      </c>
      <c r="H18" s="18">
        <f t="shared" si="3"/>
        <v>1.6638370118845499E-2</v>
      </c>
      <c r="I18" s="6">
        <f t="shared" si="4"/>
        <v>123479.99999999999</v>
      </c>
      <c r="J18" t="s">
        <v>61</v>
      </c>
      <c r="K18" s="6"/>
      <c r="L18" s="6">
        <f t="shared" si="5"/>
        <v>123479.99999999999</v>
      </c>
      <c r="M18" t="s">
        <v>61</v>
      </c>
      <c r="N18" s="6"/>
      <c r="O18" s="6">
        <f t="shared" si="6"/>
        <v>123479.99999999999</v>
      </c>
    </row>
    <row r="19" spans="2:15" ht="15.6" x14ac:dyDescent="0.35">
      <c r="B19" t="s">
        <v>82</v>
      </c>
      <c r="C19" t="s">
        <v>83</v>
      </c>
      <c r="D19" s="18">
        <v>3.0000000000000001E-3</v>
      </c>
      <c r="E19" s="18">
        <f t="shared" si="2"/>
        <v>7.5037518759379683E-3</v>
      </c>
      <c r="G19">
        <v>14</v>
      </c>
      <c r="H19" s="18">
        <f t="shared" si="3"/>
        <v>6.7911714770797962E-3</v>
      </c>
      <c r="I19" s="6">
        <f t="shared" si="4"/>
        <v>50400</v>
      </c>
      <c r="J19" t="s">
        <v>61</v>
      </c>
      <c r="K19" s="6"/>
      <c r="L19" s="6">
        <f t="shared" si="5"/>
        <v>50400</v>
      </c>
      <c r="M19" t="s">
        <v>61</v>
      </c>
      <c r="N19" s="6"/>
      <c r="O19" s="6">
        <f t="shared" si="6"/>
        <v>50400</v>
      </c>
    </row>
    <row r="20" spans="2:15" ht="15.6" x14ac:dyDescent="0.35">
      <c r="B20" t="s">
        <v>84</v>
      </c>
      <c r="C20" t="s">
        <v>85</v>
      </c>
      <c r="D20" s="18">
        <v>2E-3</v>
      </c>
      <c r="E20" s="18">
        <f t="shared" si="2"/>
        <v>5.0025012506253125E-3</v>
      </c>
      <c r="G20">
        <v>8.6999999999999993</v>
      </c>
      <c r="H20" s="18">
        <f t="shared" si="3"/>
        <v>4.2202279893281585E-3</v>
      </c>
      <c r="I20" s="6">
        <f t="shared" si="4"/>
        <v>31319.999999999996</v>
      </c>
      <c r="J20" t="s">
        <v>61</v>
      </c>
      <c r="K20" s="6"/>
      <c r="L20" s="6">
        <f t="shared" si="5"/>
        <v>31319.999999999996</v>
      </c>
      <c r="M20" t="s">
        <v>61</v>
      </c>
      <c r="N20" s="6"/>
      <c r="O20" s="6">
        <f t="shared" si="6"/>
        <v>31319.999999999996</v>
      </c>
    </row>
    <row r="21" spans="2:15" ht="15.6" x14ac:dyDescent="0.35">
      <c r="B21" t="s">
        <v>86</v>
      </c>
      <c r="C21" t="s">
        <v>87</v>
      </c>
      <c r="D21" s="18">
        <v>4.0000000000000001E-3</v>
      </c>
      <c r="E21" s="18">
        <f t="shared" si="2"/>
        <v>1.0005002501250625E-2</v>
      </c>
      <c r="G21">
        <v>22</v>
      </c>
      <c r="H21" s="18">
        <f t="shared" si="3"/>
        <v>1.0671840892553965E-2</v>
      </c>
      <c r="I21" s="6">
        <f t="shared" si="4"/>
        <v>79200</v>
      </c>
      <c r="J21" t="s">
        <v>61</v>
      </c>
      <c r="K21" s="6"/>
      <c r="L21" s="6">
        <f t="shared" si="5"/>
        <v>79200</v>
      </c>
      <c r="M21" t="s">
        <v>61</v>
      </c>
      <c r="N21" s="6"/>
      <c r="O21" s="6">
        <f t="shared" si="6"/>
        <v>79200</v>
      </c>
    </row>
    <row r="22" spans="2:15" ht="15.6" x14ac:dyDescent="0.35">
      <c r="B22" t="s">
        <v>88</v>
      </c>
      <c r="C22" t="s">
        <v>89</v>
      </c>
      <c r="D22" s="18">
        <v>1E-3</v>
      </c>
      <c r="E22" s="18">
        <f t="shared" si="2"/>
        <v>2.5012506253126563E-3</v>
      </c>
      <c r="G22">
        <v>6</v>
      </c>
      <c r="H22" s="18">
        <f t="shared" si="3"/>
        <v>2.910502061605627E-3</v>
      </c>
      <c r="I22" s="6">
        <f t="shared" si="4"/>
        <v>21600</v>
      </c>
      <c r="J22" t="s">
        <v>56</v>
      </c>
      <c r="K22" s="6">
        <f t="shared" si="0"/>
        <v>21600</v>
      </c>
      <c r="L22" s="6"/>
      <c r="M22" t="s">
        <v>56</v>
      </c>
      <c r="N22" s="6">
        <f t="shared" si="1"/>
        <v>21600</v>
      </c>
      <c r="O22" s="6"/>
    </row>
    <row r="23" spans="2:15" ht="15.6" x14ac:dyDescent="0.35">
      <c r="B23" t="s">
        <v>90</v>
      </c>
      <c r="C23" t="s">
        <v>91</v>
      </c>
      <c r="D23" s="18">
        <v>2E-3</v>
      </c>
      <c r="E23" s="18">
        <f t="shared" si="2"/>
        <v>5.0025012506253125E-3</v>
      </c>
      <c r="G23">
        <v>11.9</v>
      </c>
      <c r="H23" s="18">
        <f t="shared" si="3"/>
        <v>5.772495755517827E-3</v>
      </c>
      <c r="I23" s="6">
        <f t="shared" si="4"/>
        <v>42840</v>
      </c>
      <c r="J23" t="s">
        <v>61</v>
      </c>
      <c r="K23" s="6"/>
      <c r="L23" s="6">
        <f t="shared" si="5"/>
        <v>42840</v>
      </c>
      <c r="M23" t="s">
        <v>61</v>
      </c>
      <c r="N23" s="6"/>
      <c r="O23" s="6">
        <f t="shared" si="6"/>
        <v>42840</v>
      </c>
    </row>
    <row r="24" spans="2:15" ht="15.6" x14ac:dyDescent="0.35">
      <c r="B24" t="s">
        <v>92</v>
      </c>
      <c r="C24" t="s">
        <v>93</v>
      </c>
      <c r="D24" s="18">
        <v>3.3E-3</v>
      </c>
      <c r="E24" s="18">
        <f t="shared" si="2"/>
        <v>8.2541270635317649E-3</v>
      </c>
      <c r="G24">
        <v>17</v>
      </c>
      <c r="H24" s="18">
        <f t="shared" si="3"/>
        <v>8.246422507882609E-3</v>
      </c>
      <c r="I24" s="6">
        <f t="shared" si="4"/>
        <v>61200</v>
      </c>
      <c r="J24" t="s">
        <v>61</v>
      </c>
      <c r="K24" s="6"/>
      <c r="L24" s="6">
        <f t="shared" si="5"/>
        <v>61200</v>
      </c>
      <c r="M24" t="s">
        <v>61</v>
      </c>
      <c r="N24" s="6"/>
      <c r="O24" s="6">
        <f t="shared" si="6"/>
        <v>61200</v>
      </c>
    </row>
    <row r="25" spans="2:15" ht="15.6" x14ac:dyDescent="0.35">
      <c r="B25" t="s">
        <v>94</v>
      </c>
      <c r="C25" t="s">
        <v>95</v>
      </c>
      <c r="D25" s="18">
        <v>0</v>
      </c>
      <c r="E25" s="18">
        <f t="shared" si="2"/>
        <v>0</v>
      </c>
      <c r="G25">
        <v>0</v>
      </c>
      <c r="H25" s="18">
        <f t="shared" si="3"/>
        <v>0</v>
      </c>
      <c r="I25" s="6">
        <f t="shared" si="4"/>
        <v>0</v>
      </c>
      <c r="J25" t="s">
        <v>56</v>
      </c>
      <c r="K25" s="6">
        <f t="shared" si="0"/>
        <v>0</v>
      </c>
      <c r="L25" s="6"/>
      <c r="M25" t="s">
        <v>56</v>
      </c>
      <c r="N25" s="6">
        <f t="shared" si="1"/>
        <v>0</v>
      </c>
      <c r="O25" s="6"/>
    </row>
    <row r="26" spans="2:15" ht="15.6" x14ac:dyDescent="0.35">
      <c r="B26" t="s">
        <v>96</v>
      </c>
      <c r="C26" t="s">
        <v>97</v>
      </c>
      <c r="D26" s="18">
        <v>3.5000000000000003E-2</v>
      </c>
      <c r="E26" s="18">
        <f t="shared" si="2"/>
        <v>8.7543771885942964E-2</v>
      </c>
      <c r="G26">
        <v>178</v>
      </c>
      <c r="H26" s="18">
        <f t="shared" si="3"/>
        <v>8.6344894494300273E-2</v>
      </c>
      <c r="I26" s="6">
        <f t="shared" si="4"/>
        <v>640800</v>
      </c>
      <c r="J26" t="s">
        <v>56</v>
      </c>
      <c r="K26" s="6">
        <f t="shared" si="0"/>
        <v>640800</v>
      </c>
      <c r="L26" s="6"/>
      <c r="M26" t="s">
        <v>98</v>
      </c>
      <c r="N26" s="6"/>
      <c r="O26" s="6"/>
    </row>
    <row r="27" spans="2:15" ht="15.6" x14ac:dyDescent="0.35">
      <c r="B27" t="s">
        <v>99</v>
      </c>
      <c r="C27" t="s">
        <v>100</v>
      </c>
      <c r="D27" s="18">
        <v>7.4999999999999997E-3</v>
      </c>
      <c r="E27" s="18">
        <f t="shared" si="2"/>
        <v>1.875937968984492E-2</v>
      </c>
      <c r="G27">
        <v>39.6</v>
      </c>
      <c r="H27" s="18">
        <f t="shared" si="3"/>
        <v>1.9209313606597139E-2</v>
      </c>
      <c r="I27" s="6">
        <f t="shared" si="4"/>
        <v>142560</v>
      </c>
      <c r="J27" t="s">
        <v>61</v>
      </c>
      <c r="K27" s="6"/>
      <c r="L27" s="6">
        <f t="shared" si="5"/>
        <v>142560</v>
      </c>
      <c r="M27" t="s">
        <v>61</v>
      </c>
      <c r="N27" s="6"/>
      <c r="O27" s="6">
        <f t="shared" si="6"/>
        <v>142560</v>
      </c>
    </row>
    <row r="28" spans="2:15" ht="15.6" x14ac:dyDescent="0.35">
      <c r="B28" t="s">
        <v>101</v>
      </c>
      <c r="C28" t="s">
        <v>102</v>
      </c>
      <c r="D28" s="18">
        <v>3.9E-2</v>
      </c>
      <c r="E28" s="18">
        <f t="shared" si="2"/>
        <v>9.7548774387193588E-2</v>
      </c>
      <c r="G28">
        <v>198</v>
      </c>
      <c r="H28" s="18">
        <f t="shared" si="3"/>
        <v>9.6046568032985696E-2</v>
      </c>
      <c r="I28" s="6">
        <f t="shared" si="4"/>
        <v>712800</v>
      </c>
      <c r="J28" t="s">
        <v>56</v>
      </c>
      <c r="K28" s="6">
        <f t="shared" si="0"/>
        <v>712800</v>
      </c>
      <c r="L28" s="6"/>
      <c r="M28" t="s">
        <v>98</v>
      </c>
      <c r="N28" s="6"/>
      <c r="O28" s="6"/>
    </row>
    <row r="29" spans="2:15" ht="15.6" x14ac:dyDescent="0.35">
      <c r="B29" t="s">
        <v>103</v>
      </c>
      <c r="C29" t="s">
        <v>104</v>
      </c>
      <c r="D29" s="18">
        <v>0</v>
      </c>
      <c r="E29" s="18">
        <f t="shared" si="2"/>
        <v>0</v>
      </c>
      <c r="G29">
        <v>0</v>
      </c>
      <c r="H29" s="18">
        <f t="shared" si="3"/>
        <v>0</v>
      </c>
      <c r="I29" s="6">
        <f t="shared" si="4"/>
        <v>0</v>
      </c>
      <c r="J29" t="s">
        <v>61</v>
      </c>
      <c r="K29" s="6">
        <f t="shared" si="0"/>
        <v>0</v>
      </c>
      <c r="L29" s="6">
        <f t="shared" si="5"/>
        <v>0</v>
      </c>
      <c r="M29" t="s">
        <v>61</v>
      </c>
      <c r="N29" s="6"/>
      <c r="O29" s="6">
        <f t="shared" si="6"/>
        <v>0</v>
      </c>
    </row>
    <row r="30" spans="2:15" x14ac:dyDescent="0.3">
      <c r="D30" s="18"/>
      <c r="E30" s="18"/>
    </row>
    <row r="31" spans="2:15" x14ac:dyDescent="0.3">
      <c r="B31" t="s">
        <v>105</v>
      </c>
      <c r="D31">
        <f t="shared" ref="D31" si="7">SUM(D6:D29)</f>
        <v>0.39980000000000004</v>
      </c>
      <c r="G31">
        <f>SUM(G6:G29)</f>
        <v>2061.5</v>
      </c>
      <c r="I31" s="6">
        <f>SUM(I6:I29)</f>
        <v>7421400</v>
      </c>
      <c r="K31" s="6">
        <f>SUM(K6:K29)</f>
        <v>4130280</v>
      </c>
      <c r="L31" s="6">
        <f>SUM(L6:L29)</f>
        <v>3291120</v>
      </c>
      <c r="M31" s="6"/>
      <c r="N31" s="6">
        <f t="shared" ref="N31:O31" si="8">SUM(N6:N29)</f>
        <v>2776680</v>
      </c>
      <c r="O31" s="6">
        <f t="shared" si="8"/>
        <v>3291120</v>
      </c>
    </row>
    <row r="32" spans="2:15" x14ac:dyDescent="0.3">
      <c r="K32" s="4">
        <f>K31/(K31+L31)</f>
        <v>0.55653650254668929</v>
      </c>
      <c r="L32" s="4">
        <f>1-K32</f>
        <v>0.44346349745331071</v>
      </c>
      <c r="M32" s="4"/>
      <c r="N32" s="4">
        <f>N31/(N31+O31)</f>
        <v>0.45760901809552063</v>
      </c>
      <c r="O32" s="4">
        <f>1-N32</f>
        <v>0.54239098190447943</v>
      </c>
    </row>
    <row r="34" spans="2:4" ht="43.2" x14ac:dyDescent="0.3">
      <c r="C34" s="17" t="s">
        <v>106</v>
      </c>
      <c r="D34" s="17" t="s">
        <v>107</v>
      </c>
    </row>
    <row r="35" spans="2:4" ht="43.2" x14ac:dyDescent="0.3">
      <c r="B35" s="17" t="s">
        <v>108</v>
      </c>
      <c r="C35" s="6">
        <v>18264553.554854278</v>
      </c>
      <c r="D35" s="6">
        <f>C35</f>
        <v>18264553.554854278</v>
      </c>
    </row>
    <row r="36" spans="2:4" ht="33" customHeight="1" x14ac:dyDescent="0.3">
      <c r="B36" s="17" t="s">
        <v>109</v>
      </c>
      <c r="C36" s="6">
        <f>K31+L31</f>
        <v>7421400</v>
      </c>
      <c r="D36" s="6">
        <f>N31+O31</f>
        <v>6067800</v>
      </c>
    </row>
    <row r="37" spans="2:4" ht="43.8" customHeight="1" x14ac:dyDescent="0.3">
      <c r="B37" s="17" t="s">
        <v>110</v>
      </c>
      <c r="C37" s="19">
        <f>C36/C35</f>
        <v>0.40632802645359878</v>
      </c>
      <c r="D37" s="19">
        <f>D36/D35</f>
        <v>0.33221726344290115</v>
      </c>
    </row>
    <row r="38" spans="2:4" ht="43.2" x14ac:dyDescent="0.3">
      <c r="B38" s="17" t="s">
        <v>111</v>
      </c>
      <c r="C38" s="19">
        <f>K31/C35</f>
        <v>0.22613637872918449</v>
      </c>
      <c r="D38" s="19">
        <f>N31/D35</f>
        <v>0.15202561571848688</v>
      </c>
    </row>
    <row r="39" spans="2:4" ht="28.8" x14ac:dyDescent="0.3">
      <c r="B39" s="17" t="s">
        <v>112</v>
      </c>
      <c r="C39" s="19">
        <f>L31/C35</f>
        <v>0.18019164772441426</v>
      </c>
      <c r="D39" s="19">
        <f>O31/D35</f>
        <v>0.18019164772441426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0"/>
  <sheetViews>
    <sheetView topLeftCell="A7" workbookViewId="0">
      <selection activeCell="B5" sqref="B5"/>
    </sheetView>
  </sheetViews>
  <sheetFormatPr defaultRowHeight="14.4" x14ac:dyDescent="0.3"/>
  <cols>
    <col min="2" max="2" width="19.6640625" customWidth="1"/>
    <col min="3" max="3" width="15.33203125" customWidth="1"/>
    <col min="4" max="4" width="10" customWidth="1"/>
    <col min="5" max="5" width="16.88671875" customWidth="1"/>
    <col min="6" max="6" width="12.33203125" customWidth="1"/>
  </cols>
  <sheetData>
    <row r="2" spans="2:5" x14ac:dyDescent="0.3">
      <c r="B2" t="s">
        <v>113</v>
      </c>
    </row>
    <row r="4" spans="2:5" x14ac:dyDescent="0.3">
      <c r="B4" t="s">
        <v>114</v>
      </c>
    </row>
    <row r="5" spans="2:5" x14ac:dyDescent="0.3">
      <c r="B5" t="s">
        <v>115</v>
      </c>
    </row>
    <row r="7" spans="2:5" ht="57.6" x14ac:dyDescent="0.3">
      <c r="B7" t="s">
        <v>116</v>
      </c>
      <c r="C7" s="17" t="s">
        <v>117</v>
      </c>
      <c r="D7" s="17" t="s">
        <v>118</v>
      </c>
      <c r="E7" s="17" t="s">
        <v>119</v>
      </c>
    </row>
    <row r="8" spans="2:5" x14ac:dyDescent="0.3">
      <c r="B8">
        <v>2009</v>
      </c>
      <c r="C8">
        <v>3397</v>
      </c>
      <c r="D8">
        <v>6074</v>
      </c>
      <c r="E8">
        <v>1788</v>
      </c>
    </row>
    <row r="9" spans="2:5" x14ac:dyDescent="0.3">
      <c r="B9">
        <v>2010</v>
      </c>
      <c r="C9">
        <v>3619</v>
      </c>
      <c r="D9">
        <v>6405</v>
      </c>
      <c r="E9">
        <v>1770</v>
      </c>
    </row>
    <row r="10" spans="2:5" x14ac:dyDescent="0.3">
      <c r="B10">
        <v>2011</v>
      </c>
      <c r="C10">
        <v>4043</v>
      </c>
      <c r="D10">
        <v>7398</v>
      </c>
      <c r="E10">
        <v>1829</v>
      </c>
    </row>
    <row r="11" spans="2:5" x14ac:dyDescent="0.3">
      <c r="B11" t="s">
        <v>120</v>
      </c>
      <c r="C11">
        <f>SUM(C8:C10)</f>
        <v>11059</v>
      </c>
      <c r="D11">
        <f t="shared" ref="D11" si="0">SUM(D8:D10)</f>
        <v>19877</v>
      </c>
      <c r="E11" s="6">
        <f>SUM(E8:E10)/3</f>
        <v>1795.6666666666667</v>
      </c>
    </row>
    <row r="14" spans="2:5" ht="43.2" x14ac:dyDescent="0.3">
      <c r="B14" s="17" t="s">
        <v>121</v>
      </c>
      <c r="C14">
        <v>1375</v>
      </c>
    </row>
    <row r="15" spans="2:5" ht="43.2" x14ac:dyDescent="0.3">
      <c r="B15" s="17" t="s">
        <v>122</v>
      </c>
      <c r="C15" s="6">
        <f>D11*C14/E11</f>
        <v>15220.461295711899</v>
      </c>
    </row>
    <row r="16" spans="2:5" ht="43.2" x14ac:dyDescent="0.3">
      <c r="B16" s="17" t="s">
        <v>123</v>
      </c>
      <c r="C16" s="6">
        <f>C15/3</f>
        <v>5073.487098570633</v>
      </c>
    </row>
    <row r="17" spans="2:3" ht="33" customHeight="1" x14ac:dyDescent="0.3">
      <c r="B17" s="17" t="s">
        <v>124</v>
      </c>
      <c r="C17" s="6">
        <f>C16*3600</f>
        <v>18264553.554854278</v>
      </c>
    </row>
    <row r="18" spans="2:3" ht="57.6" x14ac:dyDescent="0.3">
      <c r="B18" s="17" t="s">
        <v>125</v>
      </c>
      <c r="C18" s="16">
        <v>0.40632802645359872</v>
      </c>
    </row>
    <row r="20" spans="2:3" x14ac:dyDescent="0.3">
      <c r="B20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Solar-PV-for-IM</vt:lpstr>
      <vt:lpstr>Prieto&amp;Hall-Table6.18</vt:lpstr>
      <vt:lpstr>Prieto&amp;Hall-Table5.1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</dc:creator>
  <cp:lastModifiedBy>Josh</cp:lastModifiedBy>
  <dcterms:created xsi:type="dcterms:W3CDTF">2015-08-19T12:07:57Z</dcterms:created>
  <dcterms:modified xsi:type="dcterms:W3CDTF">2015-08-27T01:30:07Z</dcterms:modified>
</cp:coreProperties>
</file>